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FORMATION\"/>
    </mc:Choice>
  </mc:AlternateContent>
  <xr:revisionPtr revIDLastSave="0" documentId="13_ncr:1_{15AC6DCC-74A3-4AE1-B62A-AA7677BA0896}" xr6:coauthVersionLast="47" xr6:coauthVersionMax="47" xr10:uidLastSave="{00000000-0000-0000-0000-000000000000}"/>
  <workbookProtection workbookAlgorithmName="SHA-512" workbookHashValue="pH0C7biXYtOpsIpAnvEXSdBHRdlc3VT7ALKsP9t3SbdEB7fqwNgM3fm3Jk1pEPuFvOjwwcit2/u1Yv7EtlP8LQ==" workbookSaltValue="iY9+c3k13gk5g2svS72YLw==" workbookSpinCount="100000" lockStructure="1"/>
  <bookViews>
    <workbookView xWindow="-28920" yWindow="-120" windowWidth="29040" windowHeight="15720" xr2:uid="{610D3D4C-21BB-4874-BBE6-8565B0BC7F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G59" i="1"/>
  <c r="I59" i="1"/>
  <c r="K59" i="1"/>
  <c r="M59" i="1"/>
  <c r="O59" i="1"/>
  <c r="C59" i="1"/>
  <c r="E57" i="1"/>
  <c r="G57" i="1"/>
  <c r="I57" i="1"/>
  <c r="K57" i="1"/>
  <c r="M57" i="1"/>
  <c r="O57" i="1"/>
  <c r="C57" i="1"/>
  <c r="E50" i="1"/>
  <c r="G50" i="1"/>
  <c r="I50" i="1"/>
  <c r="K50" i="1"/>
  <c r="M50" i="1"/>
  <c r="O50" i="1"/>
  <c r="C50" i="1"/>
  <c r="E47" i="1"/>
  <c r="G47" i="1"/>
  <c r="I47" i="1"/>
  <c r="K47" i="1"/>
  <c r="M47" i="1"/>
  <c r="O47" i="1"/>
  <c r="C47" i="1"/>
  <c r="O45" i="1"/>
  <c r="M45" i="1"/>
  <c r="K45" i="1"/>
  <c r="I45" i="1"/>
  <c r="G45" i="1"/>
  <c r="E45" i="1"/>
  <c r="C45" i="1"/>
  <c r="O41" i="1"/>
  <c r="M41" i="1"/>
  <c r="K41" i="1"/>
  <c r="I41" i="1"/>
  <c r="G41" i="1"/>
  <c r="E41" i="1"/>
  <c r="C41" i="1"/>
  <c r="M39" i="1"/>
  <c r="K39" i="1"/>
  <c r="I39" i="1"/>
  <c r="G39" i="1"/>
  <c r="E39" i="1"/>
  <c r="C39" i="1"/>
  <c r="O39" i="1"/>
  <c r="E35" i="1"/>
  <c r="G35" i="1"/>
  <c r="I35" i="1"/>
  <c r="K35" i="1"/>
  <c r="M35" i="1"/>
  <c r="O35" i="1"/>
  <c r="C35" i="1"/>
  <c r="O32" i="1"/>
  <c r="M32" i="1"/>
  <c r="K32" i="1"/>
  <c r="I32" i="1"/>
  <c r="G32" i="1"/>
  <c r="E32" i="1"/>
  <c r="C32" i="1"/>
  <c r="E29" i="1"/>
  <c r="G29" i="1"/>
  <c r="I29" i="1"/>
  <c r="K29" i="1"/>
  <c r="M29" i="1"/>
  <c r="O29" i="1"/>
  <c r="C29" i="1"/>
  <c r="O27" i="1"/>
  <c r="M27" i="1"/>
  <c r="K27" i="1"/>
  <c r="I27" i="1"/>
  <c r="G27" i="1"/>
  <c r="E27" i="1"/>
  <c r="C27" i="1"/>
  <c r="E23" i="1"/>
  <c r="G23" i="1"/>
  <c r="I23" i="1"/>
  <c r="K23" i="1"/>
  <c r="M23" i="1"/>
  <c r="O23" i="1"/>
  <c r="C23" i="1"/>
  <c r="O21" i="1"/>
  <c r="M21" i="1"/>
  <c r="K21" i="1"/>
  <c r="I21" i="1"/>
  <c r="G21" i="1"/>
  <c r="E21" i="1"/>
  <c r="C21" i="1"/>
  <c r="E18" i="1"/>
  <c r="G18" i="1"/>
  <c r="I18" i="1"/>
  <c r="K18" i="1"/>
  <c r="M18" i="1"/>
  <c r="O18" i="1"/>
  <c r="C18" i="1"/>
  <c r="E8" i="1"/>
  <c r="G8" i="1"/>
  <c r="I8" i="1"/>
  <c r="K8" i="1"/>
  <c r="M8" i="1"/>
  <c r="O8" i="1"/>
  <c r="C8" i="1"/>
  <c r="O14" i="1"/>
  <c r="M14" i="1"/>
  <c r="K14" i="1"/>
  <c r="I14" i="1"/>
  <c r="G14" i="1"/>
  <c r="E14" i="1"/>
  <c r="C14" i="1"/>
  <c r="O12" i="1"/>
  <c r="M12" i="1"/>
  <c r="K12" i="1"/>
  <c r="I12" i="1"/>
  <c r="G12" i="1"/>
  <c r="E12" i="1"/>
  <c r="C12" i="1"/>
  <c r="O11" i="1"/>
  <c r="M11" i="1"/>
  <c r="K11" i="1"/>
  <c r="G11" i="1"/>
  <c r="I11" i="1"/>
  <c r="E11" i="1"/>
  <c r="C11" i="1"/>
  <c r="O4" i="1"/>
  <c r="M4" i="1"/>
  <c r="K4" i="1"/>
  <c r="I4" i="1"/>
  <c r="G4" i="1"/>
  <c r="E4" i="1"/>
  <c r="C4" i="1"/>
</calcChain>
</file>

<file path=xl/sharedStrings.xml><?xml version="1.0" encoding="utf-8"?>
<sst xmlns="http://schemas.openxmlformats.org/spreadsheetml/2006/main" count="49" uniqueCount="46">
  <si>
    <t>County Elections</t>
  </si>
  <si>
    <t>Total County Cost for Elections</t>
  </si>
  <si>
    <t>Early Voting Costs (included in total costs for this document)</t>
  </si>
  <si>
    <t>Special Election Costs (Included in total costs for this document)</t>
  </si>
  <si>
    <t>Cost for voting equipment (included in total costs for this document)</t>
  </si>
  <si>
    <t>Justice System</t>
  </si>
  <si>
    <t>Total Cost for Judicial.Court System</t>
  </si>
  <si>
    <t>Total Court Appointed Attorney</t>
  </si>
  <si>
    <t>Total Indigent Defense Received</t>
  </si>
  <si>
    <t>Court Collection Program</t>
  </si>
  <si>
    <t>Victim Assistance Coorindator (included in total court system)</t>
  </si>
  <si>
    <t>Jury Expense</t>
  </si>
  <si>
    <t>Jury Expense Reimbursement</t>
  </si>
  <si>
    <t xml:space="preserve">TOTAL   </t>
  </si>
  <si>
    <t>TOTAL</t>
  </si>
  <si>
    <t>Indigent Health Care</t>
  </si>
  <si>
    <t>Total Costs for Indigent (not including inmates)</t>
  </si>
  <si>
    <t>Total Costs Indigent Health Care for Inmates</t>
  </si>
  <si>
    <t>Training</t>
  </si>
  <si>
    <t>Total Costs of all Mandated Training</t>
  </si>
  <si>
    <t>Cost for Training Jail Staff</t>
  </si>
  <si>
    <t>Total LEOSE Grant Funds</t>
  </si>
  <si>
    <t>County Jail</t>
  </si>
  <si>
    <t>Total Expense County Jail</t>
  </si>
  <si>
    <t>SB22 Grant</t>
  </si>
  <si>
    <t>Prisoner Keep Funds</t>
  </si>
  <si>
    <t xml:space="preserve">TOTAL  </t>
  </si>
  <si>
    <t>Miscellaneous</t>
  </si>
  <si>
    <t>Total Cost for Adult Probation</t>
  </si>
  <si>
    <t>Total Cost for Juvenile Probation</t>
  </si>
  <si>
    <t>Total Cost for Indigent Burials</t>
  </si>
  <si>
    <t>Total Cost Motor Vehicle Fees/Taxes</t>
  </si>
  <si>
    <t>Total Cost for DPS Office</t>
  </si>
  <si>
    <t>Total Costs for Software for Collections</t>
  </si>
  <si>
    <t>Total Costs Appraisal District Fees</t>
  </si>
  <si>
    <t>Total Cost for Autopsies</t>
  </si>
  <si>
    <t>Total Received in Admin Fees for Collecting</t>
  </si>
  <si>
    <t>TOTAL COSTS UNFUNDED MANDATES</t>
  </si>
  <si>
    <t>Auditor's Office</t>
  </si>
  <si>
    <t>Treasurer's Office</t>
  </si>
  <si>
    <t>Comm Court Expense</t>
  </si>
  <si>
    <t>R&amp;B Expense</t>
  </si>
  <si>
    <t>Tax Collection Side of Tax Office</t>
  </si>
  <si>
    <t xml:space="preserve">TOTAL </t>
  </si>
  <si>
    <t>TOTAL ALL</t>
  </si>
  <si>
    <t>UNFUNDED MANDATES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</si>
</sst>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2931-A5E6-4E56-A9FC-BFFD5E4110D5}">
  <dimension ref="A1:O59"/>
  <sheetViews>
    <sheetView tabSelected="1" workbookViewId="0">
      <selection activeCell="N6" sqref="N6"/>
    </sheetView>
  </sheetViews>
  <sheetFormatPr defaultRowHeight="15" x14ac:dyDescent="0.25"/>
  <cols>
    <col min="1" max="1" width="32.7109375" customWidth="1"/>
    <col min="2" max="2" width="4.28515625" customWidth="1"/>
    <col min="3" max="3" width="12.28515625" customWidth="1"/>
    <col min="4" max="4" width="3.7109375" customWidth="1"/>
    <col min="5" max="5" width="14.42578125" customWidth="1"/>
    <col min="6" max="6" width="4" customWidth="1"/>
    <col min="7" max="7" width="16.140625" customWidth="1"/>
    <col min="8" max="8" width="3.5703125" customWidth="1"/>
    <col min="9" max="9" width="12.85546875" customWidth="1"/>
    <col min="10" max="10" width="3.5703125" customWidth="1"/>
    <col min="11" max="11" width="16.85546875" customWidth="1"/>
    <col min="12" max="12" width="4.5703125" customWidth="1"/>
    <col min="13" max="13" width="16.5703125" customWidth="1"/>
    <col min="14" max="14" width="4" customWidth="1"/>
    <col min="15" max="15" width="14.7109375" customWidth="1"/>
    <col min="16" max="16" width="4.5703125" customWidth="1"/>
  </cols>
  <sheetData>
    <row r="1" spans="1:15" x14ac:dyDescent="0.25">
      <c r="A1" s="3" t="s">
        <v>45</v>
      </c>
      <c r="C1" s="2">
        <v>2019</v>
      </c>
      <c r="D1" s="2"/>
      <c r="E1" s="2">
        <v>2020</v>
      </c>
      <c r="F1" s="2"/>
      <c r="G1" s="2">
        <v>2021</v>
      </c>
      <c r="H1" s="2"/>
      <c r="I1" s="2">
        <v>2022</v>
      </c>
      <c r="J1" s="2"/>
      <c r="K1" s="2">
        <v>2023</v>
      </c>
      <c r="L1" s="2"/>
      <c r="M1" s="2">
        <v>2024</v>
      </c>
      <c r="N1" s="2"/>
      <c r="O1" s="2">
        <v>2025</v>
      </c>
    </row>
    <row r="2" spans="1:15" x14ac:dyDescent="0.25">
      <c r="A2" s="4"/>
    </row>
    <row r="3" spans="1:15" x14ac:dyDescent="0.25">
      <c r="A3" s="5" t="s">
        <v>0</v>
      </c>
    </row>
    <row r="4" spans="1:15" ht="30" x14ac:dyDescent="0.25">
      <c r="A4" s="4" t="s">
        <v>1</v>
      </c>
      <c r="C4">
        <f>2273.23+3282.2</f>
        <v>5555.43</v>
      </c>
      <c r="E4">
        <f>14097.42+1399.12+2950</f>
        <v>18446.54</v>
      </c>
      <c r="G4">
        <f>5215.82+2918.26+2332.5</f>
        <v>10466.58</v>
      </c>
      <c r="I4">
        <f>13702.8+1103.13+8740.5</f>
        <v>23546.43</v>
      </c>
      <c r="K4">
        <f>6953.61+4775.97+2455</f>
        <v>14184.58</v>
      </c>
      <c r="M4">
        <f>10549.98+1421.96+12216.11</f>
        <v>24188.05</v>
      </c>
      <c r="O4">
        <f>162456.65</f>
        <v>162456.65</v>
      </c>
    </row>
    <row r="5" spans="1:15" ht="45" x14ac:dyDescent="0.25">
      <c r="A5" s="4" t="s">
        <v>2</v>
      </c>
    </row>
    <row r="6" spans="1:15" ht="45" x14ac:dyDescent="0.25">
      <c r="A6" s="4" t="s">
        <v>3</v>
      </c>
    </row>
    <row r="7" spans="1:15" ht="45" x14ac:dyDescent="0.25">
      <c r="A7" s="4" t="s">
        <v>4</v>
      </c>
    </row>
    <row r="8" spans="1:15" x14ac:dyDescent="0.25">
      <c r="A8" s="5" t="s">
        <v>13</v>
      </c>
      <c r="B8" s="1"/>
      <c r="C8" s="1">
        <f>SUM(C4:C7)</f>
        <v>5555.43</v>
      </c>
      <c r="D8" s="1"/>
      <c r="E8" s="1">
        <f t="shared" ref="E8:O8" si="0">SUM(E4:E7)</f>
        <v>18446.54</v>
      </c>
      <c r="F8" s="1"/>
      <c r="G8" s="1">
        <f t="shared" si="0"/>
        <v>10466.58</v>
      </c>
      <c r="H8" s="1"/>
      <c r="I8" s="1">
        <f t="shared" si="0"/>
        <v>23546.43</v>
      </c>
      <c r="J8" s="1"/>
      <c r="K8" s="1">
        <f t="shared" si="0"/>
        <v>14184.58</v>
      </c>
      <c r="L8" s="1"/>
      <c r="M8" s="1">
        <f t="shared" si="0"/>
        <v>24188.05</v>
      </c>
      <c r="N8" s="1"/>
      <c r="O8" s="1">
        <f t="shared" si="0"/>
        <v>162456.65</v>
      </c>
    </row>
    <row r="9" spans="1:15" x14ac:dyDescent="0.25">
      <c r="A9" s="4"/>
    </row>
    <row r="10" spans="1:15" x14ac:dyDescent="0.25">
      <c r="A10" s="5" t="s">
        <v>5</v>
      </c>
    </row>
    <row r="11" spans="1:15" ht="30" x14ac:dyDescent="0.25">
      <c r="A11" s="4" t="s">
        <v>6</v>
      </c>
      <c r="C11">
        <f>200493.25+4688+283523.63+168291.72+348295.53+231268.58+209549.8+131779.68+324236.51+210883.57+8856.01</f>
        <v>2121866.2799999998</v>
      </c>
      <c r="E11">
        <f>203885.1+4161.62+324015.72+174692.48+349644.47+9925.85+225635.87+210062.52+140431.4+326329.31+203383.91</f>
        <v>2172168.25</v>
      </c>
      <c r="G11">
        <f>206099.35+44598.47+8452.58+299085.43+228124.07+353496.76+237974.75+226071.8+141871.54+329080.86+201050.6</f>
        <v>2275906.21</v>
      </c>
      <c r="I11">
        <f>200208.72+58052.63+9507.42+303639.68+273050.85+357185.53+229767.56+234420.95+146358.95+317684.61+210075.16</f>
        <v>2339952.06</v>
      </c>
      <c r="K11">
        <f>212126.26+56449.94+16510.28+317357.28+329926.15+378405.58+249387.47+248284.86+153611.27+318850.5+216649.23</f>
        <v>2497558.8199999998</v>
      </c>
      <c r="M11">
        <f>225112.67+56249.39+376385.02+288492.31+393856.28+8752.87+285401.85+253799.93+164716.19+411618.26+419491-175000-67000</f>
        <v>2641875.77</v>
      </c>
      <c r="O11">
        <f>244531.18+61512.6+9200.58+332933.13+326956.87+405461.17+295519.14+278924.56+179938.04+554273.02-175000+464995.41-175000</f>
        <v>2804245.7</v>
      </c>
    </row>
    <row r="12" spans="1:15" x14ac:dyDescent="0.25">
      <c r="A12" s="4" t="s">
        <v>7</v>
      </c>
      <c r="C12">
        <f>725+68731.93</f>
        <v>69456.929999999993</v>
      </c>
      <c r="E12">
        <f>1375+89977.7</f>
        <v>91352.7</v>
      </c>
      <c r="G12">
        <f>39931.32+152763.98</f>
        <v>192695.30000000002</v>
      </c>
      <c r="I12">
        <f>51780.04+184827.79</f>
        <v>236607.83000000002</v>
      </c>
      <c r="K12">
        <f>49580.04+223384.38</f>
        <v>272964.42</v>
      </c>
      <c r="M12">
        <f>50214.9+179364.15</f>
        <v>229579.05</v>
      </c>
      <c r="O12">
        <f>53636.16+180338.34</f>
        <v>233974.5</v>
      </c>
    </row>
    <row r="13" spans="1:15" x14ac:dyDescent="0.25">
      <c r="A13" s="4" t="s">
        <v>8</v>
      </c>
      <c r="C13">
        <v>-15205</v>
      </c>
      <c r="E13">
        <v>-21425</v>
      </c>
      <c r="G13">
        <v>-23308</v>
      </c>
      <c r="I13">
        <v>-24811</v>
      </c>
      <c r="K13">
        <v>-24608.01</v>
      </c>
      <c r="M13">
        <v>-22192</v>
      </c>
      <c r="O13">
        <v>0</v>
      </c>
    </row>
    <row r="14" spans="1:15" x14ac:dyDescent="0.25">
      <c r="A14" s="4" t="s">
        <v>9</v>
      </c>
      <c r="C14">
        <f>283523.63+348295.53+231268.58+209549.8</f>
        <v>1072637.54</v>
      </c>
      <c r="E14">
        <f>324015.72+349644.47+225635.87+210062.52</f>
        <v>1109358.5799999998</v>
      </c>
      <c r="G14">
        <f>237974.75+226071.8+299085.43+353496.76</f>
        <v>1116628.74</v>
      </c>
      <c r="I14">
        <f>303639.68+357185.33+229767.56+234420.95</f>
        <v>1125013.52</v>
      </c>
      <c r="K14">
        <f>249387.47+248284.86+317357.28+378405.58</f>
        <v>1193435.19</v>
      </c>
      <c r="M14">
        <f>376385.02+393856.28+285401.85+253799.93</f>
        <v>1309443.0799999998</v>
      </c>
      <c r="O14">
        <f>295519.14+278924.56+332933.13+405461.17</f>
        <v>1312838</v>
      </c>
    </row>
    <row r="15" spans="1:15" ht="30" x14ac:dyDescent="0.25">
      <c r="A15" s="4" t="s">
        <v>10</v>
      </c>
    </row>
    <row r="16" spans="1:15" x14ac:dyDescent="0.25">
      <c r="A16" s="4" t="s">
        <v>11</v>
      </c>
      <c r="C16">
        <v>11844.12</v>
      </c>
      <c r="E16">
        <v>9913.51</v>
      </c>
      <c r="G16">
        <v>6471.93</v>
      </c>
      <c r="I16">
        <v>9609.2000000000007</v>
      </c>
      <c r="K16">
        <v>11734.47</v>
      </c>
      <c r="M16">
        <v>17872.59</v>
      </c>
      <c r="O16">
        <v>25066.41</v>
      </c>
    </row>
    <row r="17" spans="1:15" x14ac:dyDescent="0.25">
      <c r="A17" s="4" t="s">
        <v>12</v>
      </c>
      <c r="C17">
        <v>-10676</v>
      </c>
      <c r="E17">
        <v>-6664</v>
      </c>
      <c r="G17">
        <v>-3400</v>
      </c>
      <c r="I17">
        <v>-3264</v>
      </c>
      <c r="K17">
        <v>-7072</v>
      </c>
      <c r="M17">
        <v>-14242</v>
      </c>
      <c r="O17">
        <v>-15174</v>
      </c>
    </row>
    <row r="18" spans="1:15" x14ac:dyDescent="0.25">
      <c r="A18" s="5" t="s">
        <v>14</v>
      </c>
      <c r="B18" s="1"/>
      <c r="C18" s="1">
        <f>SUM(C11:C17)</f>
        <v>3249923.87</v>
      </c>
      <c r="D18" s="1"/>
      <c r="E18" s="1">
        <f t="shared" ref="E18:O18" si="1">SUM(E11:E17)</f>
        <v>3354704.04</v>
      </c>
      <c r="F18" s="1"/>
      <c r="G18" s="1">
        <f t="shared" si="1"/>
        <v>3564994.18</v>
      </c>
      <c r="H18" s="1"/>
      <c r="I18" s="1">
        <f t="shared" si="1"/>
        <v>3683107.6100000003</v>
      </c>
      <c r="J18" s="1"/>
      <c r="K18" s="1">
        <f t="shared" si="1"/>
        <v>3944012.89</v>
      </c>
      <c r="L18" s="1"/>
      <c r="M18" s="1">
        <f t="shared" si="1"/>
        <v>4162336.4899999993</v>
      </c>
      <c r="N18" s="1"/>
      <c r="O18" s="1">
        <f t="shared" si="1"/>
        <v>4360950.6100000003</v>
      </c>
    </row>
    <row r="19" spans="1:15" x14ac:dyDescent="0.25">
      <c r="A19" s="4"/>
    </row>
    <row r="20" spans="1:15" x14ac:dyDescent="0.25">
      <c r="A20" s="5" t="s">
        <v>15</v>
      </c>
    </row>
    <row r="21" spans="1:15" ht="30" x14ac:dyDescent="0.25">
      <c r="A21" s="4" t="s">
        <v>16</v>
      </c>
      <c r="C21">
        <f>501649.25+12463.4</f>
        <v>514112.65</v>
      </c>
      <c r="E21">
        <f>566550.93+8568.87</f>
        <v>575119.80000000005</v>
      </c>
      <c r="G21">
        <f>517514.97+17942.77+390</f>
        <v>535847.74</v>
      </c>
      <c r="I21">
        <f>492735.43+16327.47+169</f>
        <v>509231.89999999997</v>
      </c>
      <c r="K21">
        <f>515368.78+18110.27</f>
        <v>533479.05000000005</v>
      </c>
      <c r="M21">
        <f>499867.72+12882.26</f>
        <v>512749.98</v>
      </c>
      <c r="O21">
        <f>570273.44+18714.99+17.97</f>
        <v>589006.39999999991</v>
      </c>
    </row>
    <row r="22" spans="1:15" ht="30" x14ac:dyDescent="0.25">
      <c r="A22" s="4" t="s">
        <v>17</v>
      </c>
      <c r="C22">
        <v>152364.88</v>
      </c>
      <c r="E22">
        <v>128801.23</v>
      </c>
      <c r="G22">
        <v>187088.57</v>
      </c>
      <c r="I22">
        <v>176642.87</v>
      </c>
      <c r="K22">
        <v>175078.73</v>
      </c>
      <c r="M22">
        <v>203285.14</v>
      </c>
      <c r="O22">
        <v>228435.48</v>
      </c>
    </row>
    <row r="23" spans="1:15" x14ac:dyDescent="0.25">
      <c r="A23" s="5" t="s">
        <v>14</v>
      </c>
      <c r="B23" s="1"/>
      <c r="C23" s="1">
        <f>SUM(C21:C22)</f>
        <v>666477.53</v>
      </c>
      <c r="D23" s="1"/>
      <c r="E23" s="1">
        <f t="shared" ref="E23:O23" si="2">SUM(E21:E22)</f>
        <v>703921.03</v>
      </c>
      <c r="F23" s="1"/>
      <c r="G23" s="1">
        <f t="shared" si="2"/>
        <v>722936.31</v>
      </c>
      <c r="H23" s="1"/>
      <c r="I23" s="1">
        <f t="shared" si="2"/>
        <v>685874.77</v>
      </c>
      <c r="J23" s="1"/>
      <c r="K23" s="1">
        <f t="shared" si="2"/>
        <v>708557.78</v>
      </c>
      <c r="L23" s="1"/>
      <c r="M23" s="1">
        <f t="shared" si="2"/>
        <v>716035.12</v>
      </c>
      <c r="N23" s="1"/>
      <c r="O23" s="1">
        <f t="shared" si="2"/>
        <v>817441.87999999989</v>
      </c>
    </row>
    <row r="24" spans="1:15" x14ac:dyDescent="0.25">
      <c r="A24" s="4"/>
    </row>
    <row r="25" spans="1:15" x14ac:dyDescent="0.25">
      <c r="A25" s="5" t="s">
        <v>18</v>
      </c>
    </row>
    <row r="26" spans="1:15" ht="30" x14ac:dyDescent="0.25">
      <c r="A26" s="4" t="s">
        <v>19</v>
      </c>
      <c r="C26">
        <v>81829.100000000006</v>
      </c>
      <c r="E26">
        <v>19221.41</v>
      </c>
      <c r="G26">
        <v>64389.64</v>
      </c>
      <c r="I26">
        <v>50081.36</v>
      </c>
      <c r="K26">
        <v>61975.23</v>
      </c>
      <c r="M26">
        <v>72869.350000000006</v>
      </c>
      <c r="O26">
        <v>83979.67</v>
      </c>
    </row>
    <row r="27" spans="1:15" x14ac:dyDescent="0.25">
      <c r="A27" s="4" t="s">
        <v>20</v>
      </c>
      <c r="C27">
        <f>2710+2907.24</f>
        <v>5617.24</v>
      </c>
      <c r="E27">
        <f>826.18+899</f>
        <v>1725.1799999999998</v>
      </c>
      <c r="G27">
        <f>1965+1563</f>
        <v>3528</v>
      </c>
      <c r="I27">
        <f>1099+1210</f>
        <v>2309</v>
      </c>
      <c r="K27">
        <f>1235+1943</f>
        <v>3178</v>
      </c>
      <c r="M27">
        <f>1178.5+1582</f>
        <v>2760.5</v>
      </c>
      <c r="O27">
        <f>3894.22+1921.5</f>
        <v>5815.7199999999993</v>
      </c>
    </row>
    <row r="28" spans="1:15" x14ac:dyDescent="0.25">
      <c r="A28" s="4" t="s">
        <v>21</v>
      </c>
      <c r="C28">
        <v>-2796.5</v>
      </c>
      <c r="E28">
        <v>-2740.89</v>
      </c>
      <c r="G28">
        <v>-1563</v>
      </c>
      <c r="I28">
        <v>-1210</v>
      </c>
      <c r="K28">
        <v>-1943</v>
      </c>
      <c r="M28">
        <v>-5953.66</v>
      </c>
      <c r="O28">
        <v>-5971.7</v>
      </c>
    </row>
    <row r="29" spans="1:15" x14ac:dyDescent="0.25">
      <c r="A29" s="5" t="s">
        <v>14</v>
      </c>
      <c r="B29" s="1"/>
      <c r="C29" s="1">
        <f>SUM(C26:C28)</f>
        <v>84649.840000000011</v>
      </c>
      <c r="D29" s="1"/>
      <c r="E29" s="1">
        <f t="shared" ref="E29:O29" si="3">SUM(E26:E28)</f>
        <v>18205.7</v>
      </c>
      <c r="F29" s="1"/>
      <c r="G29" s="1">
        <f t="shared" si="3"/>
        <v>66354.64</v>
      </c>
      <c r="H29" s="1"/>
      <c r="I29" s="1">
        <f t="shared" si="3"/>
        <v>51180.36</v>
      </c>
      <c r="J29" s="1"/>
      <c r="K29" s="1">
        <f t="shared" si="3"/>
        <v>63210.23</v>
      </c>
      <c r="L29" s="1"/>
      <c r="M29" s="1">
        <f t="shared" si="3"/>
        <v>69676.19</v>
      </c>
      <c r="N29" s="1"/>
      <c r="O29" s="1">
        <f t="shared" si="3"/>
        <v>83823.69</v>
      </c>
    </row>
    <row r="30" spans="1:15" x14ac:dyDescent="0.25">
      <c r="A30" s="4"/>
    </row>
    <row r="31" spans="1:15" x14ac:dyDescent="0.25">
      <c r="A31" s="5" t="s">
        <v>22</v>
      </c>
    </row>
    <row r="32" spans="1:15" x14ac:dyDescent="0.25">
      <c r="A32" s="4" t="s">
        <v>23</v>
      </c>
      <c r="C32">
        <f>3012080.82+960931.72</f>
        <v>3973012.54</v>
      </c>
      <c r="E32">
        <f>3078121.03+840941.48</f>
        <v>3919062.51</v>
      </c>
      <c r="G32">
        <f>3032515.48+911922.93</f>
        <v>3944438.41</v>
      </c>
      <c r="I32">
        <f>3054158.96+912370.8</f>
        <v>3966529.76</v>
      </c>
      <c r="K32">
        <f>3247115.23+1129851.14</f>
        <v>4376966.37</v>
      </c>
      <c r="M32">
        <f>3501807.52+1564691.46</f>
        <v>5066498.9800000004</v>
      </c>
      <c r="O32">
        <f>3788198.87+1410501.93</f>
        <v>5198700.8</v>
      </c>
    </row>
    <row r="33" spans="1:15" x14ac:dyDescent="0.25">
      <c r="A33" s="4" t="s">
        <v>25</v>
      </c>
      <c r="C33">
        <v>-671598.75</v>
      </c>
      <c r="E33">
        <v>-586860</v>
      </c>
      <c r="G33">
        <v>-490745</v>
      </c>
      <c r="I33">
        <v>-234236.65</v>
      </c>
      <c r="K33">
        <v>-329218.88</v>
      </c>
      <c r="M33">
        <v>-438518.32</v>
      </c>
      <c r="O33">
        <v>-468633.68</v>
      </c>
    </row>
    <row r="34" spans="1:15" x14ac:dyDescent="0.25">
      <c r="A34" s="4" t="s">
        <v>24</v>
      </c>
      <c r="C34">
        <v>0</v>
      </c>
      <c r="E34">
        <v>0</v>
      </c>
      <c r="G34">
        <v>0</v>
      </c>
      <c r="I34">
        <v>0</v>
      </c>
      <c r="K34">
        <v>0</v>
      </c>
      <c r="M34">
        <v>-300000</v>
      </c>
      <c r="O34">
        <v>-300000</v>
      </c>
    </row>
    <row r="35" spans="1:15" x14ac:dyDescent="0.25">
      <c r="A35" s="5" t="s">
        <v>26</v>
      </c>
      <c r="B35" s="1"/>
      <c r="C35" s="1">
        <f>SUM(C32:C34)</f>
        <v>3301413.79</v>
      </c>
      <c r="D35" s="1"/>
      <c r="E35" s="1">
        <f t="shared" ref="E35:O35" si="4">SUM(E32:E34)</f>
        <v>3332202.51</v>
      </c>
      <c r="F35" s="1"/>
      <c r="G35" s="1">
        <f t="shared" si="4"/>
        <v>3453693.41</v>
      </c>
      <c r="H35" s="1"/>
      <c r="I35" s="1">
        <f t="shared" si="4"/>
        <v>3732293.11</v>
      </c>
      <c r="J35" s="1"/>
      <c r="K35" s="1">
        <f t="shared" si="4"/>
        <v>4047747.49</v>
      </c>
      <c r="L35" s="1"/>
      <c r="M35" s="1">
        <f t="shared" si="4"/>
        <v>4327980.66</v>
      </c>
      <c r="N35" s="1"/>
      <c r="O35" s="1">
        <f t="shared" si="4"/>
        <v>4430067.12</v>
      </c>
    </row>
    <row r="36" spans="1:15" x14ac:dyDescent="0.25">
      <c r="A36" s="4"/>
    </row>
    <row r="37" spans="1:15" x14ac:dyDescent="0.25">
      <c r="A37" s="5" t="s">
        <v>27</v>
      </c>
    </row>
    <row r="38" spans="1:15" x14ac:dyDescent="0.25">
      <c r="A38" s="4" t="s">
        <v>28</v>
      </c>
      <c r="C38">
        <v>18257.88</v>
      </c>
      <c r="E38">
        <v>54716.27</v>
      </c>
      <c r="G38">
        <v>89093.78</v>
      </c>
      <c r="I38">
        <v>92335.22</v>
      </c>
      <c r="K38">
        <v>101866.02</v>
      </c>
      <c r="M38">
        <v>79872.800000000003</v>
      </c>
      <c r="O38">
        <v>102632.3</v>
      </c>
    </row>
    <row r="39" spans="1:15" x14ac:dyDescent="0.25">
      <c r="A39" s="4" t="s">
        <v>29</v>
      </c>
      <c r="C39">
        <f>176504.89+81581.13</f>
        <v>258086.02000000002</v>
      </c>
      <c r="E39">
        <f>192967.32+89879.7</f>
        <v>282847.02</v>
      </c>
      <c r="G39">
        <f>163545.22+120110.47</f>
        <v>283655.69</v>
      </c>
      <c r="I39">
        <f>141329.83+130051.38</f>
        <v>271381.20999999996</v>
      </c>
      <c r="K39">
        <f>158815.38+79674.86</f>
        <v>238490.23999999999</v>
      </c>
      <c r="M39">
        <f>199040+106855.63</f>
        <v>305895.63</v>
      </c>
      <c r="O39">
        <f>186404.88+108287.79</f>
        <v>294692.67</v>
      </c>
    </row>
    <row r="40" spans="1:15" x14ac:dyDescent="0.25">
      <c r="A40" s="4" t="s">
        <v>30</v>
      </c>
      <c r="C40">
        <v>13500</v>
      </c>
      <c r="E40">
        <v>12800</v>
      </c>
      <c r="G40">
        <v>10405.06</v>
      </c>
      <c r="I40">
        <v>11291</v>
      </c>
      <c r="K40">
        <v>1500</v>
      </c>
      <c r="M40">
        <v>4500</v>
      </c>
      <c r="O40">
        <v>3000</v>
      </c>
    </row>
    <row r="41" spans="1:15" x14ac:dyDescent="0.25">
      <c r="A41" s="4" t="s">
        <v>35</v>
      </c>
      <c r="C41">
        <f>15081.3+6970</f>
        <v>22051.3</v>
      </c>
      <c r="E41">
        <f>9040.75+2830</f>
        <v>11870.75</v>
      </c>
      <c r="G41">
        <f>12865.75+16300.5</f>
        <v>29166.25</v>
      </c>
      <c r="I41">
        <f>12347.5+19663</f>
        <v>32010.5</v>
      </c>
      <c r="K41">
        <f>14550+17445</f>
        <v>31995</v>
      </c>
      <c r="M41">
        <f>26001.3+6490</f>
        <v>32491.3</v>
      </c>
      <c r="O41">
        <f>13710+15965</f>
        <v>29675</v>
      </c>
    </row>
    <row r="42" spans="1:15" ht="30" x14ac:dyDescent="0.25">
      <c r="A42" s="4" t="s">
        <v>31</v>
      </c>
      <c r="C42">
        <v>217060.61</v>
      </c>
      <c r="E42">
        <v>226159.18</v>
      </c>
      <c r="G42">
        <v>226982.02</v>
      </c>
      <c r="I42">
        <v>222575.03</v>
      </c>
      <c r="K42">
        <v>247787.22</v>
      </c>
      <c r="M42">
        <v>282289.21000000002</v>
      </c>
      <c r="O42">
        <v>289140.82</v>
      </c>
    </row>
    <row r="43" spans="1:15" ht="30" x14ac:dyDescent="0.25">
      <c r="A43" s="4" t="s">
        <v>36</v>
      </c>
      <c r="C43">
        <v>-562301.31999999995</v>
      </c>
      <c r="E43">
        <v>-451809.62</v>
      </c>
      <c r="G43">
        <v>-469137.1</v>
      </c>
      <c r="I43">
        <v>-537485.18000000005</v>
      </c>
      <c r="K43">
        <v>-559942.07999999996</v>
      </c>
      <c r="M43">
        <v>-522049.97</v>
      </c>
      <c r="O43">
        <v>-554331.81999999995</v>
      </c>
    </row>
    <row r="44" spans="1:15" x14ac:dyDescent="0.25">
      <c r="A44" s="4" t="s">
        <v>32</v>
      </c>
      <c r="C44">
        <v>56953.29</v>
      </c>
      <c r="E44">
        <v>58631.17</v>
      </c>
      <c r="G44">
        <v>61028.7</v>
      </c>
      <c r="I44">
        <v>60790.11</v>
      </c>
      <c r="K44">
        <v>64410.59</v>
      </c>
      <c r="M44">
        <v>69510.12</v>
      </c>
      <c r="O44">
        <v>73962.09</v>
      </c>
    </row>
    <row r="45" spans="1:15" ht="30" x14ac:dyDescent="0.25">
      <c r="A45" s="4" t="s">
        <v>33</v>
      </c>
      <c r="C45">
        <f>94183.54+16981.7</f>
        <v>111165.23999999999</v>
      </c>
      <c r="E45">
        <f>235199.1+14943.29</f>
        <v>250142.39</v>
      </c>
      <c r="G45">
        <f>220294.21+19177.96+4350</f>
        <v>243822.16999999998</v>
      </c>
      <c r="I45">
        <f>239035.76+29657.48</f>
        <v>268693.24</v>
      </c>
      <c r="K45">
        <f>579320.85+13019.38+30499.2</f>
        <v>622839.42999999993</v>
      </c>
      <c r="M45">
        <f>204844.87+21506.29+6822.93</f>
        <v>233174.09</v>
      </c>
      <c r="O45">
        <f>212267.12+33698.99</f>
        <v>245966.11</v>
      </c>
    </row>
    <row r="46" spans="1:15" x14ac:dyDescent="0.25">
      <c r="A46" s="4" t="s">
        <v>34</v>
      </c>
      <c r="C46">
        <v>218171.12</v>
      </c>
      <c r="E46">
        <v>249732.6</v>
      </c>
      <c r="G46">
        <v>274400.27</v>
      </c>
      <c r="I46">
        <v>281512.36</v>
      </c>
      <c r="K46">
        <v>320451.36</v>
      </c>
      <c r="M46">
        <v>368081.64</v>
      </c>
      <c r="O46">
        <v>411483.96</v>
      </c>
    </row>
    <row r="47" spans="1:15" x14ac:dyDescent="0.25">
      <c r="A47" s="5" t="s">
        <v>14</v>
      </c>
      <c r="B47" s="1"/>
      <c r="C47" s="1">
        <f>SUM(C38:C46)</f>
        <v>352944.14000000013</v>
      </c>
      <c r="D47" s="1"/>
      <c r="E47" s="1">
        <f t="shared" ref="E47:O47" si="5">SUM(E38:E46)</f>
        <v>695089.76</v>
      </c>
      <c r="F47" s="1"/>
      <c r="G47" s="1">
        <f t="shared" si="5"/>
        <v>749416.84</v>
      </c>
      <c r="H47" s="1"/>
      <c r="I47" s="1">
        <f t="shared" si="5"/>
        <v>703103.48999999987</v>
      </c>
      <c r="J47" s="1"/>
      <c r="K47" s="1">
        <f t="shared" si="5"/>
        <v>1069397.7799999998</v>
      </c>
      <c r="L47" s="1"/>
      <c r="M47" s="1">
        <f t="shared" si="5"/>
        <v>853764.82</v>
      </c>
      <c r="N47" s="1"/>
      <c r="O47" s="1">
        <f t="shared" si="5"/>
        <v>896221.13000000012</v>
      </c>
    </row>
    <row r="50" spans="1:15" x14ac:dyDescent="0.25">
      <c r="A50" s="1" t="s">
        <v>37</v>
      </c>
      <c r="B50" s="1"/>
      <c r="C50" s="1">
        <f>C8+C18+C23+C29+C35+C47</f>
        <v>7660964.5999999996</v>
      </c>
      <c r="D50" s="1"/>
      <c r="E50" s="1">
        <f t="shared" ref="E50:O50" si="6">E8+E18+E23+E29+E35+E47</f>
        <v>8122569.5800000001</v>
      </c>
      <c r="F50" s="1"/>
      <c r="G50" s="1">
        <f t="shared" si="6"/>
        <v>8567861.9600000009</v>
      </c>
      <c r="H50" s="1"/>
      <c r="I50" s="1">
        <f t="shared" si="6"/>
        <v>8879105.7700000014</v>
      </c>
      <c r="J50" s="1"/>
      <c r="K50" s="1">
        <f t="shared" si="6"/>
        <v>9847110.75</v>
      </c>
      <c r="L50" s="1"/>
      <c r="M50" s="1">
        <f t="shared" si="6"/>
        <v>10153981.33</v>
      </c>
      <c r="N50" s="1"/>
      <c r="O50" s="1">
        <f t="shared" si="6"/>
        <v>10750961.080000002</v>
      </c>
    </row>
    <row r="52" spans="1:15" x14ac:dyDescent="0.25">
      <c r="A52" t="s">
        <v>38</v>
      </c>
      <c r="C52">
        <v>238337.05</v>
      </c>
      <c r="E52">
        <v>223918.6</v>
      </c>
      <c r="G52">
        <v>236276.78</v>
      </c>
      <c r="I52">
        <v>267170.15000000002</v>
      </c>
      <c r="K52">
        <v>273989</v>
      </c>
      <c r="M52">
        <v>294835.36</v>
      </c>
      <c r="O52">
        <v>327958.83</v>
      </c>
    </row>
    <row r="53" spans="1:15" x14ac:dyDescent="0.25">
      <c r="A53" t="s">
        <v>39</v>
      </c>
      <c r="C53">
        <v>235648.95</v>
      </c>
      <c r="E53">
        <v>222900.85</v>
      </c>
      <c r="G53">
        <v>237338.83</v>
      </c>
      <c r="I53">
        <v>245583.14</v>
      </c>
      <c r="K53">
        <v>252932.72</v>
      </c>
      <c r="M53">
        <v>245663.23</v>
      </c>
      <c r="O53">
        <v>268475.53000000003</v>
      </c>
    </row>
    <row r="54" spans="1:15" x14ac:dyDescent="0.25">
      <c r="A54" t="s">
        <v>42</v>
      </c>
      <c r="C54">
        <v>217060.61</v>
      </c>
      <c r="E54">
        <v>226159.18</v>
      </c>
      <c r="G54">
        <v>226982.02</v>
      </c>
      <c r="I54">
        <v>222575.03</v>
      </c>
      <c r="K54">
        <v>247787.22</v>
      </c>
      <c r="M54">
        <v>282289.21000000002</v>
      </c>
      <c r="O54">
        <v>289140.82</v>
      </c>
    </row>
    <row r="55" spans="1:15" x14ac:dyDescent="0.25">
      <c r="A55" t="s">
        <v>40</v>
      </c>
      <c r="C55">
        <v>336109.19</v>
      </c>
      <c r="E55">
        <v>349027.72</v>
      </c>
      <c r="G55">
        <v>368406.81</v>
      </c>
      <c r="I55">
        <v>404746.49</v>
      </c>
      <c r="K55">
        <v>392203.16</v>
      </c>
      <c r="M55">
        <v>434849.14</v>
      </c>
      <c r="O55">
        <v>528038.30000000005</v>
      </c>
    </row>
    <row r="56" spans="1:15" x14ac:dyDescent="0.25">
      <c r="A56" t="s">
        <v>41</v>
      </c>
      <c r="C56">
        <v>2151441.66</v>
      </c>
      <c r="E56">
        <v>2240607.02</v>
      </c>
      <c r="G56">
        <v>3540871.02</v>
      </c>
      <c r="I56">
        <v>2569402.19</v>
      </c>
      <c r="K56">
        <v>3251561.03</v>
      </c>
      <c r="M56">
        <v>3787911.45</v>
      </c>
      <c r="O56">
        <v>3962681.95</v>
      </c>
    </row>
    <row r="57" spans="1:15" x14ac:dyDescent="0.25">
      <c r="A57" s="1" t="s">
        <v>43</v>
      </c>
      <c r="B57" s="1"/>
      <c r="C57" s="1">
        <f>SUM(C52:C56)</f>
        <v>3178597.46</v>
      </c>
      <c r="D57" s="1"/>
      <c r="E57" s="1">
        <f t="shared" ref="E57:O57" si="7">SUM(E52:E56)</f>
        <v>3262613.37</v>
      </c>
      <c r="F57" s="1"/>
      <c r="G57" s="1">
        <f t="shared" si="7"/>
        <v>4609875.46</v>
      </c>
      <c r="H57" s="1"/>
      <c r="I57" s="1">
        <f t="shared" si="7"/>
        <v>3709477</v>
      </c>
      <c r="J57" s="1"/>
      <c r="K57" s="1">
        <f t="shared" si="7"/>
        <v>4418473.13</v>
      </c>
      <c r="L57" s="1"/>
      <c r="M57" s="1">
        <f t="shared" si="7"/>
        <v>5045548.3900000006</v>
      </c>
      <c r="N57" s="1"/>
      <c r="O57" s="1">
        <f t="shared" si="7"/>
        <v>5376295.4300000006</v>
      </c>
    </row>
    <row r="59" spans="1:15" x14ac:dyDescent="0.25">
      <c r="A59" s="2" t="s">
        <v>44</v>
      </c>
      <c r="B59" s="2"/>
      <c r="C59" s="2">
        <f>C50+C57</f>
        <v>10839562.059999999</v>
      </c>
      <c r="D59" s="2"/>
      <c r="E59" s="2">
        <f t="shared" ref="E59:O59" si="8">E50+E57</f>
        <v>11385182.949999999</v>
      </c>
      <c r="F59" s="2"/>
      <c r="G59" s="2">
        <f t="shared" si="8"/>
        <v>13177737.420000002</v>
      </c>
      <c r="H59" s="2"/>
      <c r="I59" s="2">
        <f t="shared" si="8"/>
        <v>12588582.770000001</v>
      </c>
      <c r="J59" s="2"/>
      <c r="K59" s="2">
        <f t="shared" si="8"/>
        <v>14265583.879999999</v>
      </c>
      <c r="L59" s="2"/>
      <c r="M59" s="2">
        <f t="shared" si="8"/>
        <v>15199529.720000001</v>
      </c>
      <c r="N59" s="2"/>
      <c r="O59" s="2">
        <f t="shared" si="8"/>
        <v>16127256.510000002</v>
      </c>
    </row>
  </sheetData>
  <sheetProtection algorithmName="SHA-512" hashValue="L/Z9WhfNfvIHdFFxMEOQUfJYuBzJTmggF/8eXr7geZowONdVG7jh8/IhAnSlbGY/k7cXbTZKo6uMWyem5s3k1g==" saltValue="4ygcQJMZI/TIsqxiKU1+4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Sanchez</dc:creator>
  <cp:lastModifiedBy>Angela Sanchez</cp:lastModifiedBy>
  <dcterms:created xsi:type="dcterms:W3CDTF">2026-02-19T15:19:39Z</dcterms:created>
  <dcterms:modified xsi:type="dcterms:W3CDTF">2026-02-23T17:43:54Z</dcterms:modified>
</cp:coreProperties>
</file>